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KINKSTON NEGRA\CURSOS\CONTADORMX\WEBINAR\"/>
    </mc:Choice>
  </mc:AlternateContent>
  <bookViews>
    <workbookView xWindow="0" yWindow="0" windowWidth="28800" windowHeight="12435"/>
  </bookViews>
  <sheets>
    <sheet name="PORTA" sheetId="1" r:id="rId1"/>
    <sheet name="SEPARACION" sheetId="2" r:id="rId2"/>
    <sheet name="GENERALES" sheetId="3" r:id="rId3"/>
  </sheets>
  <definedNames>
    <definedName name="SALARIOM">GENERALES!$B$5:$C$6</definedName>
    <definedName name="TMENSUAL">GENERALES!$B$19:$E$29</definedName>
    <definedName name="UMAE">GENERALES!$C$10</definedName>
    <definedName name="UMAF">GENERALES!$C$11</definedName>
    <definedName name="ZONA">GENERALES!$B$5:$B$6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2" l="1"/>
  <c r="C13" i="2"/>
  <c r="C12" i="2"/>
  <c r="C24" i="2" s="1"/>
  <c r="C10" i="2"/>
  <c r="C9" i="2"/>
  <c r="C23" i="2" l="1"/>
  <c r="C25" i="2"/>
  <c r="C28" i="2" l="1"/>
  <c r="C26" i="2"/>
  <c r="C27" i="2"/>
  <c r="C29" i="2" s="1"/>
  <c r="C44" i="2" l="1"/>
  <c r="B33" i="2"/>
  <c r="B47" i="2"/>
  <c r="B48" i="2" s="1"/>
  <c r="B43" i="2"/>
  <c r="B45" i="2"/>
  <c r="B44" i="2"/>
  <c r="C33" i="2"/>
  <c r="C36" i="2" s="1"/>
  <c r="C47" i="2"/>
  <c r="C38" i="2" l="1"/>
  <c r="C34" i="2"/>
  <c r="C35" i="2" s="1"/>
  <c r="C37" i="2" s="1"/>
  <c r="C39" i="2" s="1"/>
  <c r="C43" i="2" s="1"/>
  <c r="C45" i="2" s="1"/>
  <c r="C48" i="2" s="1"/>
  <c r="C49" i="2" s="1"/>
  <c r="B49" i="2"/>
</calcChain>
</file>

<file path=xl/sharedStrings.xml><?xml version="1.0" encoding="utf-8"?>
<sst xmlns="http://schemas.openxmlformats.org/spreadsheetml/2006/main" count="55" uniqueCount="47">
  <si>
    <t>Nombre</t>
  </si>
  <si>
    <t>Fecha de ingreso</t>
  </si>
  <si>
    <t>Fecha de baja</t>
  </si>
  <si>
    <t>Sueldo diario</t>
  </si>
  <si>
    <t>Sueldo diario integrado</t>
  </si>
  <si>
    <t>Zona del salario mínimo</t>
  </si>
  <si>
    <t>Salario mínimo</t>
  </si>
  <si>
    <t>UMA</t>
  </si>
  <si>
    <t>Zona</t>
  </si>
  <si>
    <t>Otra</t>
  </si>
  <si>
    <t>Norte</t>
  </si>
  <si>
    <t>Tabla uma</t>
  </si>
  <si>
    <t>Enero</t>
  </si>
  <si>
    <t>Febrero-diciembre</t>
  </si>
  <si>
    <t>Claudia</t>
  </si>
  <si>
    <t>Antigüedad LFT</t>
  </si>
  <si>
    <t>Antigüedad LISR</t>
  </si>
  <si>
    <t>Captura una letra "a" en el cálculo a realizar</t>
  </si>
  <si>
    <t xml:space="preserve">Prima de antigüedad </t>
  </si>
  <si>
    <t>Indemnización 3 meses</t>
  </si>
  <si>
    <t>Indemnización 20 días x año</t>
  </si>
  <si>
    <t>a</t>
  </si>
  <si>
    <t>Determinación del pago por separación</t>
  </si>
  <si>
    <t>(+) Indemnización 3 meses</t>
  </si>
  <si>
    <t>(+) Indemnización 20 días x año</t>
  </si>
  <si>
    <t>(=) Total de pagos por separación</t>
  </si>
  <si>
    <t>(-) Ingreso exento</t>
  </si>
  <si>
    <t>(=) Ingreso acumulable</t>
  </si>
  <si>
    <t>(-) Último sueldo mensual ordinario</t>
  </si>
  <si>
    <t>(=) Ingreso no acumulable</t>
  </si>
  <si>
    <r>
      <t xml:space="preserve">5. </t>
    </r>
    <r>
      <rPr>
        <sz val="9"/>
        <color theme="1"/>
        <rFont val="Arial"/>
        <family val="2"/>
      </rPr>
      <t>Tarifa aplicable durante 2021 para el cálculo de los pagos provisionales mensuales.</t>
    </r>
  </si>
  <si>
    <t>Límite inferior</t>
  </si>
  <si>
    <t>Límite superior</t>
  </si>
  <si>
    <t>Cuota fija</t>
  </si>
  <si>
    <t xml:space="preserve">Por ciento para aplicarse sobre </t>
  </si>
  <si>
    <t>el excedente del límite inferior</t>
  </si>
  <si>
    <t>$</t>
  </si>
  <si>
    <t>%</t>
  </si>
  <si>
    <t>En adelante</t>
  </si>
  <si>
    <t>Determinación de la retención de ISR</t>
  </si>
  <si>
    <t>(-) Limite inferior</t>
  </si>
  <si>
    <t>(=) Excedente del límite inferior</t>
  </si>
  <si>
    <t>(x) % del excedente del límite inferior</t>
  </si>
  <si>
    <t>(=) Impuesto marginal</t>
  </si>
  <si>
    <t>(+) Cuota fija</t>
  </si>
  <si>
    <t>(=) ISR causado</t>
  </si>
  <si>
    <t>Determinación de la tasa de ISR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</si>
</sst>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sz val="11"/>
      <color theme="1"/>
      <name val="Marlett"/>
      <charset val="2"/>
    </font>
    <font>
      <b/>
      <u/>
      <sz val="11"/>
      <color rgb="FF0000FF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Times New Roman"/>
      <family val="1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u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1" xfId="0" applyBorder="1"/>
    <xf numFmtId="4" fontId="0" fillId="0" borderId="1" xfId="0" applyNumberFormat="1" applyBorder="1"/>
    <xf numFmtId="4" fontId="0" fillId="0" borderId="0" xfId="0" applyNumberFormat="1"/>
    <xf numFmtId="0" fontId="0" fillId="2" borderId="1" xfId="0" applyFill="1" applyBorder="1"/>
    <xf numFmtId="14" fontId="0" fillId="3" borderId="1" xfId="0" applyNumberFormat="1" applyFill="1" applyBorder="1"/>
    <xf numFmtId="14" fontId="0" fillId="3" borderId="2" xfId="0" applyNumberFormat="1" applyFill="1" applyBorder="1"/>
    <xf numFmtId="0" fontId="0" fillId="3" borderId="1" xfId="0" applyFill="1" applyBorder="1" applyAlignment="1">
      <alignment horizontal="left"/>
    </xf>
    <xf numFmtId="4" fontId="0" fillId="3" borderId="1" xfId="0" applyNumberFormat="1" applyFill="1" applyBorder="1"/>
    <xf numFmtId="0" fontId="2" fillId="0" borderId="0" xfId="0" applyFont="1"/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0" xfId="0" applyFont="1" applyFill="1" applyBorder="1"/>
    <xf numFmtId="0" fontId="2" fillId="0" borderId="1" xfId="0" applyFont="1" applyBorder="1"/>
    <xf numFmtId="0" fontId="2" fillId="0" borderId="0" xfId="0" applyFont="1" applyFill="1" applyBorder="1"/>
    <xf numFmtId="4" fontId="0" fillId="0" borderId="3" xfId="0" applyNumberFormat="1" applyBorder="1"/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4" fontId="10" fillId="0" borderId="0" xfId="0" applyNumberFormat="1" applyFont="1" applyAlignment="1">
      <alignment horizontal="right" vertical="center" wrapText="1"/>
    </xf>
    <xf numFmtId="4" fontId="10" fillId="0" borderId="5" xfId="0" applyNumberFormat="1" applyFont="1" applyBorder="1" applyAlignment="1">
      <alignment horizontal="right" vertical="center" wrapText="1"/>
    </xf>
    <xf numFmtId="0" fontId="10" fillId="0" borderId="5" xfId="0" applyFont="1" applyBorder="1" applyAlignment="1">
      <alignment horizontal="right" vertical="center" wrapText="1"/>
    </xf>
    <xf numFmtId="0" fontId="7" fillId="0" borderId="5" xfId="0" applyFont="1" applyBorder="1" applyAlignment="1">
      <alignment horizontal="center" vertical="center" wrapText="1"/>
    </xf>
    <xf numFmtId="0" fontId="11" fillId="0" borderId="0" xfId="0" applyFont="1" applyFill="1" applyBorder="1"/>
    <xf numFmtId="0" fontId="2" fillId="0" borderId="3" xfId="0" applyFont="1" applyBorder="1"/>
    <xf numFmtId="10" fontId="0" fillId="0" borderId="0" xfId="1" applyNumberFormat="1" applyFon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287508</xdr:colOff>
      <xdr:row>12</xdr:row>
      <xdr:rowOff>59823</xdr:rowOff>
    </xdr:from>
    <xdr:ext cx="8988102" cy="1782924"/>
    <xdr:sp macro="" textlink="">
      <xdr:nvSpPr>
        <xdr:cNvPr id="2" name="Rectángulo 1"/>
        <xdr:cNvSpPr/>
      </xdr:nvSpPr>
      <xdr:spPr>
        <a:xfrm>
          <a:off x="2573508" y="2345823"/>
          <a:ext cx="8988102" cy="178292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6600">
                <a:solidFill>
                  <a:schemeClr val="accent2"/>
                </a:solidFill>
                <a:prstDash val="solid"/>
              </a:ln>
              <a:solidFill>
                <a:srgbClr val="FFFFFF"/>
              </a:solidFill>
              <a:effectLst>
                <a:outerShdw dist="38100" dir="2700000" algn="tl" rotWithShape="0">
                  <a:schemeClr val="accent2"/>
                </a:outerShdw>
              </a:effectLst>
            </a:rPr>
            <a:t>Calculadoras</a:t>
          </a:r>
          <a:r>
            <a:rPr lang="es-ES" sz="5400" b="1" cap="none" spc="0" baseline="0">
              <a:ln w="6600">
                <a:solidFill>
                  <a:schemeClr val="accent2"/>
                </a:solidFill>
                <a:prstDash val="solid"/>
              </a:ln>
              <a:solidFill>
                <a:srgbClr val="FFFFFF"/>
              </a:solidFill>
              <a:effectLst>
                <a:outerShdw dist="38100" dir="2700000" algn="tl" rotWithShape="0">
                  <a:schemeClr val="accent2"/>
                </a:outerShdw>
              </a:effectLst>
            </a:rPr>
            <a:t> fiscales</a:t>
          </a:r>
        </a:p>
        <a:p>
          <a:pPr algn="ctr"/>
          <a:r>
            <a:rPr lang="es-ES" sz="5400" b="1" cap="none" spc="0" baseline="0">
              <a:ln w="6600">
                <a:solidFill>
                  <a:schemeClr val="accent2"/>
                </a:solidFill>
                <a:prstDash val="solid"/>
              </a:ln>
              <a:solidFill>
                <a:srgbClr val="FFFFFF"/>
              </a:solidFill>
              <a:effectLst>
                <a:outerShdw dist="38100" dir="2700000" algn="tl" rotWithShape="0">
                  <a:schemeClr val="accent2"/>
                </a:outerShdw>
              </a:effectLst>
            </a:rPr>
            <a:t>Pagos por separación en Excel.</a:t>
          </a:r>
          <a:endParaRPr lang="es-ES" sz="5400" b="1" cap="none" spc="0">
            <a:ln w="6600">
              <a:solidFill>
                <a:schemeClr val="accent2"/>
              </a:solidFill>
              <a:prstDash val="solid"/>
            </a:ln>
            <a:solidFill>
              <a:srgbClr val="FFFFFF"/>
            </a:solidFill>
            <a:effectLst>
              <a:outerShdw dist="38100" dir="2700000" algn="tl" rotWithShape="0">
                <a:schemeClr val="accent2"/>
              </a:outerShdw>
            </a:effectLst>
          </a:endParaRPr>
        </a:p>
      </xdr:txBody>
    </xdr:sp>
    <xdr:clientData/>
  </xdr:oneCellAnchor>
  <xdr:twoCellAnchor editAs="oneCell">
    <xdr:from>
      <xdr:col>0</xdr:col>
      <xdr:colOff>457200</xdr:colOff>
      <xdr:row>2</xdr:row>
      <xdr:rowOff>85725</xdr:rowOff>
    </xdr:from>
    <xdr:to>
      <xdr:col>4</xdr:col>
      <xdr:colOff>85390</xdr:colOff>
      <xdr:row>6</xdr:row>
      <xdr:rowOff>38011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7200" y="466725"/>
          <a:ext cx="2676190" cy="714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tabSelected="1" workbookViewId="0">
      <selection activeCell="I26" sqref="I26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49"/>
  <sheetViews>
    <sheetView showGridLines="0" zoomScale="150" zoomScaleNormal="150" workbookViewId="0">
      <selection activeCell="E22" sqref="E22"/>
    </sheetView>
  </sheetViews>
  <sheetFormatPr baseColWidth="10" defaultRowHeight="15" x14ac:dyDescent="0.25"/>
  <cols>
    <col min="2" max="2" width="33.5703125" customWidth="1"/>
  </cols>
  <sheetData>
    <row r="3" spans="2:5" x14ac:dyDescent="0.25">
      <c r="B3" t="s">
        <v>0</v>
      </c>
      <c r="C3" s="7" t="s">
        <v>14</v>
      </c>
      <c r="D3" s="7"/>
      <c r="E3" s="7"/>
    </row>
    <row r="4" spans="2:5" x14ac:dyDescent="0.25">
      <c r="B4" t="s">
        <v>1</v>
      </c>
      <c r="C4" s="6">
        <v>41682</v>
      </c>
    </row>
    <row r="5" spans="2:5" x14ac:dyDescent="0.25">
      <c r="B5" t="s">
        <v>2</v>
      </c>
      <c r="C5" s="5">
        <v>44425</v>
      </c>
    </row>
    <row r="6" spans="2:5" x14ac:dyDescent="0.25">
      <c r="B6" t="s">
        <v>3</v>
      </c>
      <c r="C6" s="8">
        <v>800</v>
      </c>
    </row>
    <row r="7" spans="2:5" x14ac:dyDescent="0.25">
      <c r="B7" t="s">
        <v>4</v>
      </c>
      <c r="C7" s="8">
        <v>865</v>
      </c>
    </row>
    <row r="8" spans="2:5" x14ac:dyDescent="0.25">
      <c r="B8" t="s">
        <v>5</v>
      </c>
      <c r="C8" s="1" t="s">
        <v>9</v>
      </c>
    </row>
    <row r="9" spans="2:5" x14ac:dyDescent="0.25">
      <c r="B9" t="s">
        <v>6</v>
      </c>
      <c r="C9" s="2">
        <f>IFERROR(VLOOKUP(C8,SALARIOM,2,FALSE),"")</f>
        <v>141.69999999999999</v>
      </c>
    </row>
    <row r="10" spans="2:5" x14ac:dyDescent="0.25">
      <c r="B10" t="s">
        <v>7</v>
      </c>
      <c r="C10" s="1">
        <f>IFERROR(IF(MONTH(C5)=1,UMAE,IF(AND(MONTH(C5)&gt;=2,MONTH(C5)&lt;=12),UMAF,"")),"")</f>
        <v>89.62</v>
      </c>
    </row>
    <row r="12" spans="2:5" x14ac:dyDescent="0.25">
      <c r="B12" t="s">
        <v>15</v>
      </c>
      <c r="C12">
        <f>IFERROR(DATEDIF(C4,C5,"Y"),"")</f>
        <v>7</v>
      </c>
    </row>
    <row r="13" spans="2:5" x14ac:dyDescent="0.25">
      <c r="B13" t="s">
        <v>16</v>
      </c>
      <c r="C13">
        <f>IFERROR(IF(DATEDIF(C4,C5,"YM")&gt;=6,DATEDIF(C4,C5,"Y")+1,DATEDIF(C4,C5,"Y")),"")</f>
        <v>8</v>
      </c>
    </row>
    <row r="15" spans="2:5" x14ac:dyDescent="0.25">
      <c r="B15" s="9" t="s">
        <v>17</v>
      </c>
    </row>
    <row r="16" spans="2:5" ht="16.5" x14ac:dyDescent="0.25">
      <c r="B16" s="10" t="s">
        <v>18</v>
      </c>
      <c r="C16" s="11" t="s">
        <v>21</v>
      </c>
    </row>
    <row r="17" spans="2:3" ht="16.5" x14ac:dyDescent="0.25">
      <c r="B17" s="10" t="s">
        <v>19</v>
      </c>
      <c r="C17" s="11" t="s">
        <v>21</v>
      </c>
    </row>
    <row r="18" spans="2:3" ht="16.5" x14ac:dyDescent="0.25">
      <c r="B18" s="10" t="s">
        <v>20</v>
      </c>
      <c r="C18" s="11" t="s">
        <v>21</v>
      </c>
    </row>
    <row r="20" spans="2:3" x14ac:dyDescent="0.25">
      <c r="B20" s="12" t="s">
        <v>22</v>
      </c>
    </row>
    <row r="21" spans="2:3" ht="6" customHeight="1" x14ac:dyDescent="0.25"/>
    <row r="22" spans="2:3" x14ac:dyDescent="0.25">
      <c r="B22" s="13" t="s">
        <v>18</v>
      </c>
      <c r="C22" s="2">
        <f>IFERROR(IF(C16="a",12*C12*IF(C6&gt;=(C9*2),C9*2,C6),""),"")</f>
        <v>23805.599999999999</v>
      </c>
    </row>
    <row r="23" spans="2:3" x14ac:dyDescent="0.25">
      <c r="B23" s="13" t="s">
        <v>23</v>
      </c>
      <c r="C23" s="2">
        <f>IFERROR(IF(AND(C22&lt;&gt;"",C17="a"),90*C7,""),"")</f>
        <v>77850</v>
      </c>
    </row>
    <row r="24" spans="2:3" x14ac:dyDescent="0.25">
      <c r="B24" s="13" t="s">
        <v>24</v>
      </c>
      <c r="C24" s="2">
        <f>IFERROR(IF(C18="a",20*C12*C7,""),"")</f>
        <v>121100</v>
      </c>
    </row>
    <row r="25" spans="2:3" x14ac:dyDescent="0.25">
      <c r="B25" s="14" t="s">
        <v>25</v>
      </c>
      <c r="C25" s="3">
        <f>SUMIF(C22:C24,"&gt;0")</f>
        <v>222755.6</v>
      </c>
    </row>
    <row r="26" spans="2:3" x14ac:dyDescent="0.25">
      <c r="B26" s="14" t="s">
        <v>26</v>
      </c>
      <c r="C26" s="15">
        <f>IFERROR(IF(C25&gt;0,90*C10*C13,""),"")</f>
        <v>64526.400000000001</v>
      </c>
    </row>
    <row r="27" spans="2:3" x14ac:dyDescent="0.25">
      <c r="B27" s="14" t="s">
        <v>27</v>
      </c>
      <c r="C27" s="3">
        <f>IFERROR(IF(C25&gt;=C26,C25-C26,0),"")</f>
        <v>158229.20000000001</v>
      </c>
    </row>
    <row r="28" spans="2:3" x14ac:dyDescent="0.25">
      <c r="B28" s="14" t="s">
        <v>28</v>
      </c>
      <c r="C28" s="15">
        <f>IFERROR(IF(C25&gt;0,C6*30,""),"")</f>
        <v>24000</v>
      </c>
    </row>
    <row r="29" spans="2:3" x14ac:dyDescent="0.25">
      <c r="B29" s="14" t="s">
        <v>29</v>
      </c>
      <c r="C29" s="3">
        <f>IFERROR(IF(C27&gt;=C28,C27-C28,0),"")</f>
        <v>134229.20000000001</v>
      </c>
    </row>
    <row r="31" spans="2:3" x14ac:dyDescent="0.25">
      <c r="B31" s="25" t="s">
        <v>39</v>
      </c>
    </row>
    <row r="32" spans="2:3" ht="6.75" customHeight="1" x14ac:dyDescent="0.25"/>
    <row r="33" spans="2:3" x14ac:dyDescent="0.25">
      <c r="B33" t="str">
        <f>IF(C27&gt;=C28,"Último sueldo mensual ordinario","Ingreso acumulable")</f>
        <v>Último sueldo mensual ordinario</v>
      </c>
      <c r="C33" s="3">
        <f>IF(C27&gt;=C28,C28,C27)</f>
        <v>24000</v>
      </c>
    </row>
    <row r="34" spans="2:3" x14ac:dyDescent="0.25">
      <c r="B34" t="s">
        <v>40</v>
      </c>
      <c r="C34" s="15">
        <f>IFERROR(VLOOKUP(C33,TMENSUAL,1),"")</f>
        <v>13381.48</v>
      </c>
    </row>
    <row r="35" spans="2:3" x14ac:dyDescent="0.25">
      <c r="B35" t="s">
        <v>41</v>
      </c>
      <c r="C35" s="3">
        <f>IFERROR(C33-C34,"")</f>
        <v>10618.52</v>
      </c>
    </row>
    <row r="36" spans="2:3" x14ac:dyDescent="0.25">
      <c r="B36" t="s">
        <v>42</v>
      </c>
      <c r="C36" s="15">
        <f>IFERROR(VLOOKUP(C33,TMENSUAL,4),"")</f>
        <v>21.36</v>
      </c>
    </row>
    <row r="37" spans="2:3" x14ac:dyDescent="0.25">
      <c r="B37" t="s">
        <v>43</v>
      </c>
      <c r="C37" s="3">
        <f>IFERROR(ROUND(C35*C36%,2),"")</f>
        <v>2268.12</v>
      </c>
    </row>
    <row r="38" spans="2:3" x14ac:dyDescent="0.25">
      <c r="B38" t="s">
        <v>44</v>
      </c>
      <c r="C38" s="15">
        <f>IFERROR(VLOOKUP(C33,TMENSUAL,3),"")</f>
        <v>1417.12</v>
      </c>
    </row>
    <row r="39" spans="2:3" x14ac:dyDescent="0.25">
      <c r="B39" t="s">
        <v>45</v>
      </c>
      <c r="C39" s="3">
        <f>IFERROR(C37+C38,"")</f>
        <v>3685.24</v>
      </c>
    </row>
    <row r="40" spans="2:3" x14ac:dyDescent="0.25">
      <c r="C40" s="3"/>
    </row>
    <row r="41" spans="2:3" x14ac:dyDescent="0.25">
      <c r="B41" s="26" t="s">
        <v>46</v>
      </c>
    </row>
    <row r="42" spans="2:3" ht="5.25" customHeight="1" x14ac:dyDescent="0.25"/>
    <row r="43" spans="2:3" x14ac:dyDescent="0.25">
      <c r="B43" t="str">
        <f>IF(C27&gt;=C28,"ISR causado","ISR a retener")</f>
        <v>ISR causado</v>
      </c>
      <c r="C43" s="3">
        <f>IF(C27&gt;=C28,C39,C39)</f>
        <v>3685.24</v>
      </c>
    </row>
    <row r="44" spans="2:3" x14ac:dyDescent="0.25">
      <c r="B44" t="str">
        <f>IF(C27&gt;=C28,"(/) Último sueldo mensual ordinario","")</f>
        <v>(/) Último sueldo mensual ordinario</v>
      </c>
      <c r="C44" s="3">
        <f>IF(C27&gt;=C28,C28,"")</f>
        <v>24000</v>
      </c>
    </row>
    <row r="45" spans="2:3" x14ac:dyDescent="0.25">
      <c r="B45" t="str">
        <f>IF(C27&gt;=C28,"(=) Tasa de retención","")</f>
        <v>(=) Tasa de retención</v>
      </c>
      <c r="C45" s="27">
        <f>IF(C27&gt;=C28,ROUND(C43/C44,4),"")</f>
        <v>0.15359999999999999</v>
      </c>
    </row>
    <row r="47" spans="2:3" x14ac:dyDescent="0.25">
      <c r="B47" t="str">
        <f>IF(C27&gt;=C28,"Ingreso acumulable","")</f>
        <v>Ingreso acumulable</v>
      </c>
      <c r="C47" s="3">
        <f>IF(B47&lt;&gt;"",C27,"")</f>
        <v>158229.20000000001</v>
      </c>
    </row>
    <row r="48" spans="2:3" x14ac:dyDescent="0.25">
      <c r="B48" t="str">
        <f>IF(B47&lt;&gt;"","(x) Tasa de retención","")</f>
        <v>(x) Tasa de retención</v>
      </c>
      <c r="C48" s="27">
        <f>IF(B48&lt;&gt;"",C45,"")</f>
        <v>0.15359999999999999</v>
      </c>
    </row>
    <row r="49" spans="2:3" x14ac:dyDescent="0.25">
      <c r="B49" t="str">
        <f>IF(B48&lt;&gt;"","(=) ISR a retener","")</f>
        <v>(=) ISR a retener</v>
      </c>
      <c r="C49" s="3">
        <f>IFERROR(ROUND(C47*C48,2),"")</f>
        <v>24304.01</v>
      </c>
    </row>
  </sheetData>
  <mergeCells count="1">
    <mergeCell ref="C3:E3"/>
  </mergeCells>
  <dataValidations disablePrompts="1" count="1">
    <dataValidation type="list" allowBlank="1" showInputMessage="1" showErrorMessage="1" sqref="C8">
      <formula1>ZONA</formula1>
    </dataValidation>
  </dataValidations>
  <pageMargins left="0.7" right="0.7" top="0.75" bottom="0.75" header="0.3" footer="0.3"/>
  <pageSetup paperSize="9" orientation="portrait" horizontalDpi="4294967292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30"/>
  <sheetViews>
    <sheetView topLeftCell="A13" zoomScale="140" zoomScaleNormal="140" workbookViewId="0">
      <selection activeCell="B19" sqref="B19:E29"/>
    </sheetView>
  </sheetViews>
  <sheetFormatPr baseColWidth="10" defaultRowHeight="15" x14ac:dyDescent="0.25"/>
  <cols>
    <col min="2" max="2" width="16.7109375" customWidth="1"/>
    <col min="3" max="3" width="14.42578125" customWidth="1"/>
  </cols>
  <sheetData>
    <row r="3" spans="2:5" x14ac:dyDescent="0.25">
      <c r="B3" t="s">
        <v>6</v>
      </c>
    </row>
    <row r="4" spans="2:5" x14ac:dyDescent="0.25">
      <c r="B4" s="4" t="s">
        <v>8</v>
      </c>
      <c r="C4" s="4" t="s">
        <v>6</v>
      </c>
    </row>
    <row r="5" spans="2:5" x14ac:dyDescent="0.25">
      <c r="B5" s="1" t="s">
        <v>9</v>
      </c>
      <c r="C5" s="2">
        <v>141.69999999999999</v>
      </c>
    </row>
    <row r="6" spans="2:5" x14ac:dyDescent="0.25">
      <c r="B6" s="1" t="s">
        <v>10</v>
      </c>
      <c r="C6" s="2">
        <v>213.39</v>
      </c>
    </row>
    <row r="9" spans="2:5" x14ac:dyDescent="0.25">
      <c r="B9" t="s">
        <v>11</v>
      </c>
    </row>
    <row r="10" spans="2:5" x14ac:dyDescent="0.25">
      <c r="B10" s="1" t="s">
        <v>12</v>
      </c>
      <c r="C10" s="1">
        <v>86.88</v>
      </c>
    </row>
    <row r="11" spans="2:5" x14ac:dyDescent="0.25">
      <c r="B11" s="1" t="s">
        <v>13</v>
      </c>
      <c r="C11" s="2">
        <v>89.62</v>
      </c>
    </row>
    <row r="15" spans="2:5" ht="33.75" customHeight="1" thickBot="1" x14ac:dyDescent="0.3">
      <c r="B15" s="24" t="s">
        <v>30</v>
      </c>
      <c r="C15" s="24"/>
      <c r="D15" s="24"/>
      <c r="E15" s="24"/>
    </row>
    <row r="16" spans="2:5" ht="34.5" thickTop="1" x14ac:dyDescent="0.25">
      <c r="B16" s="16" t="s">
        <v>31</v>
      </c>
      <c r="C16" s="16" t="s">
        <v>32</v>
      </c>
      <c r="D16" s="16" t="s">
        <v>33</v>
      </c>
      <c r="E16" s="16" t="s">
        <v>34</v>
      </c>
    </row>
    <row r="17" spans="2:5" ht="33.75" x14ac:dyDescent="0.25">
      <c r="B17" s="17"/>
      <c r="C17" s="18"/>
      <c r="D17" s="18"/>
      <c r="E17" s="17" t="s">
        <v>35</v>
      </c>
    </row>
    <row r="18" spans="2:5" ht="15.75" thickBot="1" x14ac:dyDescent="0.3">
      <c r="B18" s="19" t="s">
        <v>36</v>
      </c>
      <c r="C18" s="19" t="s">
        <v>36</v>
      </c>
      <c r="D18" s="19" t="s">
        <v>36</v>
      </c>
      <c r="E18" s="19" t="s">
        <v>37</v>
      </c>
    </row>
    <row r="19" spans="2:5" ht="15.75" thickTop="1" x14ac:dyDescent="0.25">
      <c r="B19" s="20">
        <v>0.01</v>
      </c>
      <c r="C19" s="20">
        <v>644.58000000000004</v>
      </c>
      <c r="D19" s="20">
        <v>0</v>
      </c>
      <c r="E19" s="20">
        <v>1.92</v>
      </c>
    </row>
    <row r="20" spans="2:5" x14ac:dyDescent="0.25">
      <c r="B20" s="20">
        <v>644.59</v>
      </c>
      <c r="C20" s="21">
        <v>5470.92</v>
      </c>
      <c r="D20" s="20">
        <v>12.38</v>
      </c>
      <c r="E20" s="20">
        <v>6.4</v>
      </c>
    </row>
    <row r="21" spans="2:5" x14ac:dyDescent="0.25">
      <c r="B21" s="21">
        <v>5470.93</v>
      </c>
      <c r="C21" s="21">
        <v>9614.66</v>
      </c>
      <c r="D21" s="20">
        <v>321.26</v>
      </c>
      <c r="E21" s="20">
        <v>10.88</v>
      </c>
    </row>
    <row r="22" spans="2:5" x14ac:dyDescent="0.25">
      <c r="B22" s="21">
        <v>9614.67</v>
      </c>
      <c r="C22" s="21">
        <v>11176.62</v>
      </c>
      <c r="D22" s="20">
        <v>772.1</v>
      </c>
      <c r="E22" s="20">
        <v>16</v>
      </c>
    </row>
    <row r="23" spans="2:5" x14ac:dyDescent="0.25">
      <c r="B23" s="21">
        <v>11176.63</v>
      </c>
      <c r="C23" s="21">
        <v>13381.47</v>
      </c>
      <c r="D23" s="21">
        <v>1022.01</v>
      </c>
      <c r="E23" s="20">
        <v>17.920000000000002</v>
      </c>
    </row>
    <row r="24" spans="2:5" x14ac:dyDescent="0.25">
      <c r="B24" s="21">
        <v>13381.48</v>
      </c>
      <c r="C24" s="21">
        <v>26988.5</v>
      </c>
      <c r="D24" s="21">
        <v>1417.12</v>
      </c>
      <c r="E24" s="20">
        <v>21.36</v>
      </c>
    </row>
    <row r="25" spans="2:5" x14ac:dyDescent="0.25">
      <c r="B25" s="21">
        <v>26988.51</v>
      </c>
      <c r="C25" s="21">
        <v>42537.58</v>
      </c>
      <c r="D25" s="21">
        <v>4323.58</v>
      </c>
      <c r="E25" s="20">
        <v>23.52</v>
      </c>
    </row>
    <row r="26" spans="2:5" x14ac:dyDescent="0.25">
      <c r="B26" s="21">
        <v>42537.59</v>
      </c>
      <c r="C26" s="21">
        <v>81211.25</v>
      </c>
      <c r="D26" s="21">
        <v>7980.73</v>
      </c>
      <c r="E26" s="20">
        <v>30</v>
      </c>
    </row>
    <row r="27" spans="2:5" x14ac:dyDescent="0.25">
      <c r="B27" s="21">
        <v>81211.259999999995</v>
      </c>
      <c r="C27" s="21">
        <v>108281.67</v>
      </c>
      <c r="D27" s="21">
        <v>19582.830000000002</v>
      </c>
      <c r="E27" s="20">
        <v>32</v>
      </c>
    </row>
    <row r="28" spans="2:5" x14ac:dyDescent="0.25">
      <c r="B28" s="21">
        <v>108281.68</v>
      </c>
      <c r="C28" s="21">
        <v>324845.01</v>
      </c>
      <c r="D28" s="21">
        <v>28245.360000000001</v>
      </c>
      <c r="E28" s="20">
        <v>34</v>
      </c>
    </row>
    <row r="29" spans="2:5" ht="15.75" thickBot="1" x14ac:dyDescent="0.3">
      <c r="B29" s="22">
        <v>324845.02</v>
      </c>
      <c r="C29" s="23" t="s">
        <v>38</v>
      </c>
      <c r="D29" s="22">
        <v>101876.9</v>
      </c>
      <c r="E29" s="23">
        <v>35</v>
      </c>
    </row>
    <row r="30" spans="2:5" ht="15.75" thickTop="1" x14ac:dyDescent="0.25"/>
  </sheetData>
  <mergeCells count="1">
    <mergeCell ref="B15:E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</vt:i4>
      </vt:variant>
    </vt:vector>
  </HeadingPairs>
  <TitlesOfParts>
    <vt:vector size="8" baseType="lpstr">
      <vt:lpstr>PORTA</vt:lpstr>
      <vt:lpstr>SEPARACION</vt:lpstr>
      <vt:lpstr>GENERALES</vt:lpstr>
      <vt:lpstr>SALARIOM</vt:lpstr>
      <vt:lpstr>TMENSUAL</vt:lpstr>
      <vt:lpstr>UMAE</vt:lpstr>
      <vt:lpstr>UMAF</vt:lpstr>
      <vt:lpstr>ZONA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M</dc:creator>
  <cp:lastModifiedBy>Alberto M</cp:lastModifiedBy>
  <dcterms:created xsi:type="dcterms:W3CDTF">2021-08-17T21:40:13Z</dcterms:created>
  <dcterms:modified xsi:type="dcterms:W3CDTF">2021-08-17T23:02:53Z</dcterms:modified>
</cp:coreProperties>
</file>